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y7pn\Documents\Datasheets\ON\automotive\PWM\NCV890430\"/>
    </mc:Choice>
  </mc:AlternateContent>
  <xr:revisionPtr revIDLastSave="0" documentId="13_ncr:1_{B74A658F-D942-48E1-86D6-25DD9E660AF1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Intro" sheetId="3" r:id="rId1"/>
    <sheet name="Component Selection" sheetId="4" r:id="rId2"/>
    <sheet name="Thermal Calculator" sheetId="2" r:id="rId3"/>
    <sheet name="Minimum Vin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F10" i="2" l="1"/>
  <c r="B10" i="2"/>
  <c r="B9" i="2"/>
  <c r="B8" i="2"/>
  <c r="E3" i="4"/>
  <c r="C5" i="1"/>
  <c r="D12" i="1" l="1"/>
  <c r="B16" i="2"/>
  <c r="B19" i="4" l="1"/>
  <c r="B26" i="4" s="1"/>
  <c r="B31" i="4"/>
  <c r="B30" i="4"/>
  <c r="B25" i="4"/>
  <c r="B20" i="4"/>
  <c r="B32" i="4" l="1"/>
  <c r="B21" i="4"/>
  <c r="B22" i="4"/>
  <c r="F8" i="2" l="1"/>
  <c r="B11" i="2"/>
  <c r="F9" i="2" s="1"/>
  <c r="F16" i="2" s="1"/>
  <c r="F14" i="2"/>
  <c r="F17" i="2"/>
  <c r="F19" i="2"/>
  <c r="H15" i="2" l="1"/>
  <c r="F12" i="2"/>
  <c r="F18" i="2" s="1"/>
  <c r="F20" i="2" s="1"/>
  <c r="H18" i="2"/>
  <c r="F2" i="2" l="1"/>
  <c r="N2" i="2" s="1"/>
  <c r="O2" i="2" s="1"/>
  <c r="F21" i="2"/>
  <c r="F9" i="1" l="1"/>
  <c r="F10" i="1"/>
  <c r="F11" i="1"/>
  <c r="F12" i="1"/>
  <c r="F13" i="1"/>
  <c r="F14" i="1"/>
  <c r="F15" i="1"/>
  <c r="F16" i="1"/>
  <c r="F17" i="1"/>
  <c r="F8" i="1"/>
  <c r="E9" i="1" l="1"/>
  <c r="E10" i="1"/>
  <c r="E11" i="1"/>
  <c r="E12" i="1"/>
  <c r="E13" i="1"/>
  <c r="E14" i="1"/>
  <c r="E15" i="1"/>
  <c r="E16" i="1"/>
  <c r="E17" i="1"/>
  <c r="E8" i="1"/>
  <c r="D9" i="1"/>
  <c r="D10" i="1"/>
  <c r="D11" i="1"/>
  <c r="D13" i="1"/>
  <c r="D14" i="1"/>
  <c r="D15" i="1"/>
  <c r="D16" i="1"/>
  <c r="D1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Majeika</author>
  </authors>
  <commentList>
    <comment ref="L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Thermal resistance of the package</t>
        </r>
      </text>
    </comment>
    <comment ref="N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Temperature rise in the die due to the power dissipation losses</t>
        </r>
      </text>
    </comment>
    <comment ref="O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Maximum ambient temperature based on minimum TSD specification of 150</t>
        </r>
        <r>
          <rPr>
            <sz val="9"/>
            <color indexed="81"/>
            <rFont val="Calibri"/>
            <family val="2"/>
          </rPr>
          <t>°</t>
        </r>
        <r>
          <rPr>
            <sz val="9"/>
            <color indexed="81"/>
            <rFont val="Tahoma"/>
            <family val="2"/>
          </rPr>
          <t>C</t>
        </r>
      </text>
    </comment>
    <comment ref="G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Total power dissipation in the IC</t>
        </r>
      </text>
    </comment>
    <comment ref="G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DCR of the output inductor</t>
        </r>
      </text>
    </comment>
    <comment ref="G1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SMPS losses, including conduction losses, switching losses, and Iq losses</t>
        </r>
      </text>
    </comment>
  </commentList>
</comments>
</file>

<file path=xl/sharedStrings.xml><?xml version="1.0" encoding="utf-8"?>
<sst xmlns="http://schemas.openxmlformats.org/spreadsheetml/2006/main" count="172" uniqueCount="133">
  <si>
    <t>Iout</t>
  </si>
  <si>
    <t>Vin min @ 150C</t>
  </si>
  <si>
    <t>Vin min @ 25C</t>
  </si>
  <si>
    <t>Calculates the Vin thresholds at which the regulator loses regulation.</t>
  </si>
  <si>
    <t>Vin min @ 105C</t>
  </si>
  <si>
    <t>W</t>
  </si>
  <si>
    <t>Total Pin</t>
  </si>
  <si>
    <t>Total Ploss</t>
  </si>
  <si>
    <t>Ploss - Vdrive</t>
  </si>
  <si>
    <t>A</t>
  </si>
  <si>
    <t>Idrive</t>
  </si>
  <si>
    <t>Ploss - SMPS</t>
  </si>
  <si>
    <t>IOUT Peak (A)</t>
  </si>
  <si>
    <t>Piq</t>
  </si>
  <si>
    <t>Iq</t>
  </si>
  <si>
    <t>kHz</t>
  </si>
  <si>
    <t>fsw</t>
  </si>
  <si>
    <t>ns</t>
  </si>
  <si>
    <t>toff</t>
  </si>
  <si>
    <t>IOUT RMS (A)</t>
  </si>
  <si>
    <t>Psw</t>
  </si>
  <si>
    <t>ton</t>
  </si>
  <si>
    <t>Ω</t>
  </si>
  <si>
    <t>RdsonLS</t>
  </si>
  <si>
    <t>Pcon</t>
  </si>
  <si>
    <t>RdsonHS</t>
  </si>
  <si>
    <t>Iripple (p-p)</t>
  </si>
  <si>
    <t>DCR</t>
  </si>
  <si>
    <t>IL RMS</t>
  </si>
  <si>
    <t>V</t>
  </si>
  <si>
    <t>D</t>
  </si>
  <si>
    <t>Power Loss for Synchronous Buck</t>
  </si>
  <si>
    <t xml:space="preserve">Total Loss: </t>
  </si>
  <si>
    <t>°C/W</t>
  </si>
  <si>
    <t>DFN8 3x3 mm</t>
  </si>
  <si>
    <t>Normal Application</t>
  </si>
  <si>
    <r>
      <t>Max T (</t>
    </r>
    <r>
      <rPr>
        <b/>
        <u/>
        <sz val="11"/>
        <color theme="1"/>
        <rFont val="Calibri"/>
        <family val="2"/>
      </rPr>
      <t xml:space="preserve">°C </t>
    </r>
    <r>
      <rPr>
        <b/>
        <u/>
        <sz val="11"/>
        <color theme="1"/>
        <rFont val="Calibri"/>
        <family val="2"/>
        <scheme val="minor"/>
      </rPr>
      <t>ambient)</t>
    </r>
  </si>
  <si>
    <r>
      <t>T (</t>
    </r>
    <r>
      <rPr>
        <b/>
        <u/>
        <sz val="11"/>
        <color theme="1"/>
        <rFont val="Calibri"/>
        <family val="2"/>
      </rPr>
      <t xml:space="preserve">°C </t>
    </r>
    <r>
      <rPr>
        <b/>
        <u/>
        <sz val="11"/>
        <color theme="1"/>
        <rFont val="Calibri"/>
        <family val="2"/>
        <scheme val="minor"/>
      </rPr>
      <t>rise)</t>
    </r>
  </si>
  <si>
    <r>
      <t>R</t>
    </r>
    <r>
      <rPr>
        <u/>
        <sz val="11"/>
        <color theme="1"/>
        <rFont val="Calibri"/>
        <family val="2"/>
      </rPr>
      <t>θJA</t>
    </r>
  </si>
  <si>
    <t>Package</t>
  </si>
  <si>
    <t>NCV890430 Thermal Calculation Tool</t>
  </si>
  <si>
    <t>Notes:</t>
  </si>
  <si>
    <t>NCV890430 Design Tools</t>
  </si>
  <si>
    <t>DESIGN INPUTS</t>
  </si>
  <si>
    <t>MINIMUM INPUT VOLTAGE</t>
  </si>
  <si>
    <t>MAXIMUM INPUT VOLTAGE</t>
  </si>
  <si>
    <t>NOMINAL INPUT VOLTAGE</t>
  </si>
  <si>
    <t>OUTPUT VOLTAGE</t>
  </si>
  <si>
    <t>MINIMUM LOAD CURRENT</t>
  </si>
  <si>
    <t xml:space="preserve">MAXIMUM LOAD CURRENT </t>
  </si>
  <si>
    <t>SWITCHING FREQUENCY</t>
  </si>
  <si>
    <t>HIGH SIDE MOSFET ON RESISTANCE</t>
  </si>
  <si>
    <t>LOW SIDE MOSFET ON RESISTANCE</t>
  </si>
  <si>
    <t>INPUT CAPACITOR</t>
  </si>
  <si>
    <t>DUTY CYCLE</t>
  </si>
  <si>
    <t>INPUT RIPPLE VOLTAGE</t>
  </si>
  <si>
    <t>INPUT CAPACITOR RMS CURRENT</t>
  </si>
  <si>
    <t>INDUCTOR</t>
  </si>
  <si>
    <t>LOAD RESISTANCE</t>
  </si>
  <si>
    <t>MINIMUM OUTPUT INDUCTANCE</t>
  </si>
  <si>
    <t>MINIMUM INPUT CAPACITANCE</t>
  </si>
  <si>
    <t>DCR (INDUCTOR RESISTANCE)</t>
  </si>
  <si>
    <t>OUTPUT CAPACITOR</t>
  </si>
  <si>
    <t>LOAD STEP</t>
  </si>
  <si>
    <t>CHANGE IN OUTPUT VOLTAGE</t>
  </si>
  <si>
    <t>MINIMUM OUTPUT CAPACITANCE</t>
  </si>
  <si>
    <t>ESR OF OUTPUT CAPACITOR</t>
  </si>
  <si>
    <t>UNIT</t>
  </si>
  <si>
    <t>MHz</t>
  </si>
  <si>
    <t xml:space="preserve">OUTPUT VOLTAGE CHANGE (STEP LOAD) </t>
  </si>
  <si>
    <t>%</t>
  </si>
  <si>
    <t>Symbol</t>
  </si>
  <si>
    <t>Vin_max</t>
  </si>
  <si>
    <t>Vin_min</t>
  </si>
  <si>
    <t>Vin_nom</t>
  </si>
  <si>
    <t>Vout</t>
  </si>
  <si>
    <t>Iout_min</t>
  </si>
  <si>
    <t>Iout_max</t>
  </si>
  <si>
    <t>Fsw</t>
  </si>
  <si>
    <t>RHSON</t>
  </si>
  <si>
    <t>RLSON</t>
  </si>
  <si>
    <t>Cin</t>
  </si>
  <si>
    <t>∆Vin_nom</t>
  </si>
  <si>
    <t>Cin_min</t>
  </si>
  <si>
    <t>I_cRMS</t>
  </si>
  <si>
    <t>L</t>
  </si>
  <si>
    <t>Rload</t>
  </si>
  <si>
    <t>L_min</t>
  </si>
  <si>
    <t>R_DCR</t>
  </si>
  <si>
    <t>Cout</t>
  </si>
  <si>
    <t>∆Iout</t>
  </si>
  <si>
    <r>
      <rPr>
        <sz val="11"/>
        <color theme="1"/>
        <rFont val="Times New Roman"/>
        <family val="1"/>
      </rPr>
      <t>%∆</t>
    </r>
    <r>
      <rPr>
        <sz val="11"/>
        <color theme="1"/>
        <rFont val="Calibri"/>
        <family val="2"/>
      </rPr>
      <t>Vout</t>
    </r>
  </si>
  <si>
    <t>∆Vout</t>
  </si>
  <si>
    <t>Cout_min</t>
  </si>
  <si>
    <t>R_ESR</t>
  </si>
  <si>
    <r>
      <t>m</t>
    </r>
    <r>
      <rPr>
        <sz val="11"/>
        <color theme="1"/>
        <rFont val="Times New Roman"/>
        <family val="1"/>
      </rPr>
      <t>Ω</t>
    </r>
  </si>
  <si>
    <t>uF</t>
  </si>
  <si>
    <t>INDUCTOR CURRENT RIPPLE</t>
  </si>
  <si>
    <t>%∆IL</t>
  </si>
  <si>
    <t>uH</t>
  </si>
  <si>
    <t>Ω</t>
  </si>
  <si>
    <t>I</t>
  </si>
  <si>
    <t>VALUE</t>
  </si>
  <si>
    <t>FOLDBACK THRESHOLD</t>
  </si>
  <si>
    <t>V_fld</t>
  </si>
  <si>
    <t>Value Limit or Range</t>
  </si>
  <si>
    <t>4.7 to 18</t>
  </si>
  <si>
    <t>2.5, 3.3, 5.0</t>
  </si>
  <si>
    <t xml:space="preserve">IOUT </t>
  </si>
  <si>
    <t>VOUT</t>
  </si>
  <si>
    <t>These tools are intended for informational use only and do not guarantee values or design parameters.</t>
  </si>
  <si>
    <t>Component Selection, Thermal Calculator, Minimum Input Voltage Calculator</t>
  </si>
  <si>
    <t xml:space="preserve">Some of the cells have prepopulated formulas in them to offer suggested values. These may be changed by the user. </t>
  </si>
  <si>
    <t>DEVICE SPECIFICATIONS</t>
  </si>
  <si>
    <t>Automatically entered from the Component Selection Tool</t>
  </si>
  <si>
    <t>Blue Boxes can be edited by the user to input design specifications.</t>
  </si>
  <si>
    <t xml:space="preserve"> Purple boxes can be edited by the user to reflect selected component values. </t>
  </si>
  <si>
    <t xml:space="preserve"> Light blue boxes are automatically updated by values from the Component Selection sheet.</t>
  </si>
  <si>
    <t xml:space="preserve"> In some cells, the font will turn red if an inputted value is outside of the specification limits.</t>
  </si>
  <si>
    <t>NCV890430 min input voltage calculator</t>
  </si>
  <si>
    <t>Fsync</t>
  </si>
  <si>
    <t>SYNCI FREQUENCY (LEAVE AS 2 MHz IF NOT USED)</t>
  </si>
  <si>
    <r>
      <t>R</t>
    </r>
    <r>
      <rPr>
        <sz val="11"/>
        <color theme="1"/>
        <rFont val="Franklin Gothic Book"/>
        <family val="2"/>
      </rPr>
      <t>θ</t>
    </r>
    <r>
      <rPr>
        <sz val="11"/>
        <color theme="1"/>
        <rFont val="Calibri"/>
        <family val="2"/>
      </rPr>
      <t>JA Look Up Table</t>
    </r>
  </si>
  <si>
    <t>Conditions</t>
  </si>
  <si>
    <r>
      <t>RθJA Value [</t>
    </r>
    <r>
      <rPr>
        <sz val="11"/>
        <color theme="1"/>
        <rFont val="Franklin Gothic Book"/>
        <family val="2"/>
      </rPr>
      <t>°</t>
    </r>
    <r>
      <rPr>
        <sz val="11"/>
        <color theme="1"/>
        <rFont val="Calibri"/>
        <family val="2"/>
        <scheme val="minor"/>
      </rPr>
      <t>C/W]</t>
    </r>
  </si>
  <si>
    <r>
      <t>4 Layers (2 Signal, 2 Power), 1 oz plane , 1 oz copper, 100 mm</t>
    </r>
    <r>
      <rPr>
        <sz val="11"/>
        <rFont val="Franklin Gothic Book"/>
        <family val="2"/>
      </rPr>
      <t>²</t>
    </r>
    <r>
      <rPr>
        <sz val="11"/>
        <rFont val="Calibri"/>
        <family val="2"/>
      </rPr>
      <t xml:space="preserve"> copper area</t>
    </r>
  </si>
  <si>
    <r>
      <t>1 Layer, 1 oz plane, 1 oz copper, 100 mm</t>
    </r>
    <r>
      <rPr>
        <sz val="11"/>
        <rFont val="Franklin Gothic Book"/>
        <family val="2"/>
      </rPr>
      <t>²</t>
    </r>
    <r>
      <rPr>
        <sz val="11"/>
        <rFont val="Calibri"/>
        <family val="2"/>
      </rPr>
      <t xml:space="preserve"> copper area</t>
    </r>
  </si>
  <si>
    <r>
      <t>4 Layers (2 Signal, 2 Power), 1 oz plane , 1 oz copper, 645 mm</t>
    </r>
    <r>
      <rPr>
        <sz val="11"/>
        <rFont val="Franklin Gothic Book"/>
        <family val="2"/>
      </rPr>
      <t>²</t>
    </r>
    <r>
      <rPr>
        <sz val="11"/>
        <rFont val="Calibri"/>
        <family val="2"/>
      </rPr>
      <t xml:space="preserve"> (1 in</t>
    </r>
    <r>
      <rPr>
        <sz val="11"/>
        <rFont val="Franklin Gothic Book"/>
        <family val="2"/>
      </rPr>
      <t>²</t>
    </r>
    <r>
      <rPr>
        <sz val="11"/>
        <rFont val="Calibri"/>
        <family val="2"/>
      </rPr>
      <t>) copper area</t>
    </r>
  </si>
  <si>
    <t>Use Look Up Table</t>
  </si>
  <si>
    <t>Pind</t>
  </si>
  <si>
    <t>Revision: 4</t>
  </si>
  <si>
    <t>In some cells, the font will turn red if an inputted value is outside of the specification limits.</t>
  </si>
  <si>
    <t>Date Released: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</si>
</sst>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</font>
    <font>
      <sz val="11"/>
      <color theme="7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</font>
    <font>
      <sz val="11"/>
      <color theme="1" tint="0.34998626667073579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Franklin Gothic Book"/>
      <family val="2"/>
    </font>
    <font>
      <sz val="11"/>
      <name val="Franklin Gothic Book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left"/>
    </xf>
    <xf numFmtId="2" fontId="10" fillId="0" borderId="0" xfId="0" applyNumberFormat="1" applyFont="1"/>
    <xf numFmtId="0" fontId="12" fillId="0" borderId="0" xfId="0" applyFont="1"/>
    <xf numFmtId="0" fontId="11" fillId="0" borderId="0" xfId="0" applyFont="1"/>
    <xf numFmtId="2" fontId="11" fillId="0" borderId="0" xfId="0" applyNumberFormat="1" applyFont="1"/>
    <xf numFmtId="0" fontId="0" fillId="0" borderId="21" xfId="0" applyBorder="1"/>
    <xf numFmtId="0" fontId="0" fillId="0" borderId="0" xfId="0" applyAlignment="1">
      <alignment wrapText="1"/>
    </xf>
    <xf numFmtId="0" fontId="23" fillId="0" borderId="0" xfId="0" applyFont="1"/>
    <xf numFmtId="0" fontId="0" fillId="0" borderId="25" xfId="0" applyBorder="1"/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2" fontId="23" fillId="0" borderId="0" xfId="0" applyNumberFormat="1" applyFont="1"/>
    <xf numFmtId="2" fontId="23" fillId="0" borderId="0" xfId="0" applyNumberFormat="1" applyFont="1" applyProtection="1">
      <protection hidden="1"/>
    </xf>
    <xf numFmtId="0" fontId="23" fillId="0" borderId="0" xfId="0" applyFont="1" applyAlignment="1">
      <alignment horizontal="right"/>
    </xf>
    <xf numFmtId="0" fontId="23" fillId="0" borderId="3" xfId="0" applyFont="1" applyBorder="1"/>
    <xf numFmtId="0" fontId="24" fillId="0" borderId="3" xfId="0" applyFont="1" applyBorder="1"/>
    <xf numFmtId="0" fontId="25" fillId="0" borderId="0" xfId="0" applyFont="1"/>
    <xf numFmtId="2" fontId="25" fillId="0" borderId="0" xfId="0" applyNumberFormat="1" applyFont="1"/>
    <xf numFmtId="0" fontId="24" fillId="0" borderId="0" xfId="0" applyFont="1"/>
    <xf numFmtId="0" fontId="26" fillId="0" borderId="0" xfId="0" applyFont="1"/>
    <xf numFmtId="164" fontId="26" fillId="0" borderId="0" xfId="0" applyNumberFormat="1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8" fillId="0" borderId="31" xfId="0" applyFont="1" applyBorder="1"/>
    <xf numFmtId="0" fontId="0" fillId="0" borderId="32" xfId="0" applyBorder="1"/>
    <xf numFmtId="0" fontId="0" fillId="0" borderId="33" xfId="0" applyBorder="1"/>
    <xf numFmtId="0" fontId="8" fillId="0" borderId="34" xfId="0" applyFont="1" applyBorder="1"/>
    <xf numFmtId="0" fontId="0" fillId="0" borderId="36" xfId="0" applyBorder="1"/>
    <xf numFmtId="0" fontId="0" fillId="0" borderId="37" xfId="0" applyBorder="1"/>
    <xf numFmtId="0" fontId="0" fillId="4" borderId="0" xfId="0" applyFill="1"/>
    <xf numFmtId="0" fontId="0" fillId="0" borderId="34" xfId="0" applyBorder="1"/>
    <xf numFmtId="0" fontId="0" fillId="7" borderId="35" xfId="0" applyFill="1" applyBorder="1"/>
    <xf numFmtId="0" fontId="0" fillId="7" borderId="27" xfId="0" applyFill="1" applyBorder="1"/>
    <xf numFmtId="0" fontId="0" fillId="0" borderId="26" xfId="0" applyBorder="1" applyProtection="1">
      <protection hidden="1"/>
    </xf>
    <xf numFmtId="0" fontId="0" fillId="0" borderId="0" xfId="0" applyProtection="1">
      <protection hidden="1"/>
    </xf>
    <xf numFmtId="0" fontId="0" fillId="6" borderId="28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16" fillId="7" borderId="23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8" fillId="7" borderId="0" xfId="0" applyFont="1" applyFill="1"/>
    <xf numFmtId="165" fontId="1" fillId="7" borderId="0" xfId="0" applyNumberFormat="1" applyFont="1" applyFill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18" xfId="0" applyFont="1" applyFill="1" applyBorder="1"/>
    <xf numFmtId="0" fontId="13" fillId="7" borderId="18" xfId="0" applyFont="1" applyFill="1" applyBorder="1"/>
    <xf numFmtId="165" fontId="9" fillId="7" borderId="18" xfId="0" applyNumberFormat="1" applyFont="1" applyFill="1" applyBorder="1" applyAlignment="1">
      <alignment horizontal="center"/>
    </xf>
    <xf numFmtId="0" fontId="21" fillId="7" borderId="0" xfId="2" applyFont="1" applyFill="1" applyAlignment="1">
      <alignment wrapText="1"/>
    </xf>
    <xf numFmtId="0" fontId="0" fillId="7" borderId="0" xfId="2" applyFont="1" applyFill="1" applyAlignment="1">
      <alignment wrapText="1"/>
    </xf>
    <xf numFmtId="0" fontId="28" fillId="0" borderId="0" xfId="0" applyFont="1" applyAlignment="1">
      <alignment wrapText="1"/>
    </xf>
    <xf numFmtId="0" fontId="29" fillId="7" borderId="0" xfId="1" applyFont="1" applyFill="1" applyAlignment="1">
      <alignment horizontal="center" vertical="center" wrapText="1"/>
    </xf>
    <xf numFmtId="2" fontId="0" fillId="0" borderId="25" xfId="0" applyNumberFormat="1" applyBorder="1"/>
    <xf numFmtId="0" fontId="0" fillId="0" borderId="1" xfId="0" applyBorder="1"/>
    <xf numFmtId="0" fontId="0" fillId="0" borderId="3" xfId="0" applyBorder="1"/>
    <xf numFmtId="2" fontId="23" fillId="0" borderId="1" xfId="0" applyNumberFormat="1" applyFont="1" applyBorder="1"/>
    <xf numFmtId="0" fontId="0" fillId="8" borderId="28" xfId="0" applyFill="1" applyBorder="1"/>
    <xf numFmtId="0" fontId="0" fillId="8" borderId="29" xfId="0" applyFill="1" applyBorder="1"/>
    <xf numFmtId="2" fontId="0" fillId="4" borderId="33" xfId="0" applyNumberFormat="1" applyFill="1" applyBorder="1"/>
    <xf numFmtId="0" fontId="0" fillId="0" borderId="0" xfId="0" applyAlignment="1">
      <alignment horizontal="left" wrapText="1"/>
    </xf>
    <xf numFmtId="0" fontId="0" fillId="6" borderId="25" xfId="0" applyFill="1" applyBorder="1" applyAlignment="1">
      <alignment wrapText="1"/>
    </xf>
    <xf numFmtId="0" fontId="0" fillId="10" borderId="25" xfId="0" applyFill="1" applyBorder="1" applyAlignment="1">
      <alignment wrapText="1"/>
    </xf>
    <xf numFmtId="0" fontId="0" fillId="9" borderId="25" xfId="0" applyFill="1" applyBorder="1" applyAlignment="1">
      <alignment wrapText="1"/>
    </xf>
    <xf numFmtId="0" fontId="30" fillId="0" borderId="25" xfId="0" applyFont="1" applyBorder="1" applyAlignment="1">
      <alignment wrapText="1"/>
    </xf>
    <xf numFmtId="0" fontId="30" fillId="0" borderId="0" xfId="0" applyFont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left" wrapText="1"/>
    </xf>
    <xf numFmtId="0" fontId="23" fillId="9" borderId="1" xfId="0" applyFont="1" applyFill="1" applyBorder="1"/>
    <xf numFmtId="2" fontId="23" fillId="9" borderId="1" xfId="0" applyNumberFormat="1" applyFont="1" applyFill="1" applyBorder="1"/>
    <xf numFmtId="0" fontId="0" fillId="5" borderId="2" xfId="0" applyFill="1" applyBorder="1" applyAlignment="1">
      <alignment horizontal="left"/>
    </xf>
    <xf numFmtId="0" fontId="0" fillId="10" borderId="28" xfId="0" applyFill="1" applyBorder="1" applyProtection="1">
      <protection locked="0"/>
    </xf>
    <xf numFmtId="0" fontId="0" fillId="10" borderId="33" xfId="0" applyFill="1" applyBorder="1" applyProtection="1">
      <protection locked="0"/>
    </xf>
    <xf numFmtId="0" fontId="16" fillId="7" borderId="24" xfId="0" applyFont="1" applyFill="1" applyBorder="1" applyAlignment="1">
      <alignment horizontal="center"/>
    </xf>
    <xf numFmtId="0" fontId="16" fillId="7" borderId="24" xfId="0" applyFont="1" applyFill="1" applyBorder="1"/>
    <xf numFmtId="0" fontId="0" fillId="7" borderId="0" xfId="0" applyFill="1" applyAlignment="1" applyProtection="1">
      <alignment horizontal="center"/>
      <protection locked="0"/>
    </xf>
    <xf numFmtId="0" fontId="33" fillId="0" borderId="0" xfId="0" applyFont="1"/>
    <xf numFmtId="0" fontId="0" fillId="6" borderId="25" xfId="0" applyFill="1" applyBorder="1"/>
    <xf numFmtId="0" fontId="27" fillId="7" borderId="0" xfId="1" applyFont="1" applyFill="1" applyAlignment="1">
      <alignment horizontal="center" vertical="center" wrapText="1"/>
    </xf>
    <xf numFmtId="0" fontId="0" fillId="7" borderId="0" xfId="0" applyFill="1" applyAlignment="1">
      <alignment horizontal="left" wrapText="1"/>
    </xf>
    <xf numFmtId="0" fontId="0" fillId="4" borderId="3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3" fillId="0" borderId="25" xfId="0" applyFont="1" applyBorder="1" applyAlignment="1">
      <alignment horizontal="center" wrapText="1"/>
    </xf>
    <xf numFmtId="0" fontId="23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65" fontId="1" fillId="7" borderId="0" xfId="0" applyNumberFormat="1" applyFont="1" applyFill="1" applyAlignment="1">
      <alignment horizontal="center"/>
    </xf>
    <xf numFmtId="165" fontId="1" fillId="7" borderId="20" xfId="0" applyNumberFormat="1" applyFont="1" applyFill="1" applyBorder="1" applyAlignment="1">
      <alignment horizontal="center"/>
    </xf>
    <xf numFmtId="165" fontId="9" fillId="7" borderId="18" xfId="0" applyNumberFormat="1" applyFont="1" applyFill="1" applyBorder="1" applyAlignment="1">
      <alignment horizontal="center"/>
    </xf>
    <xf numFmtId="165" fontId="9" fillId="7" borderId="17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0" xfId="0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11"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4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 patternType="solid"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4747209629098E-2"/>
          <c:y val="3.9475614495016111E-2"/>
          <c:w val="0.86969495479731695"/>
          <c:h val="0.87145186451041501"/>
        </c:manualLayout>
      </c:layout>
      <c:scatterChart>
        <c:scatterStyle val="lineMarker"/>
        <c:varyColors val="0"/>
        <c:ser>
          <c:idx val="2"/>
          <c:order val="0"/>
          <c:tx>
            <c:strRef>
              <c:f>'Minimum Vin'!$D$7</c:f>
              <c:strCache>
                <c:ptCount val="1"/>
                <c:pt idx="0">
                  <c:v>Vin min @ 150C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'Minimum Vin'!$C$8:$C$20</c:f>
              <c:numCache>
                <c:formatCode>General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'Minimum Vin'!$D$8:$D$20</c:f>
              <c:numCache>
                <c:formatCode>0.00</c:formatCode>
                <c:ptCount val="13"/>
                <c:pt idx="0">
                  <c:v>3.4</c:v>
                </c:pt>
                <c:pt idx="1">
                  <c:v>3.5</c:v>
                </c:pt>
                <c:pt idx="2">
                  <c:v>3.5999999999999996</c:v>
                </c:pt>
                <c:pt idx="3">
                  <c:v>3.6999999999999997</c:v>
                </c:pt>
                <c:pt idx="4">
                  <c:v>3.8</c:v>
                </c:pt>
                <c:pt idx="5">
                  <c:v>3.9</c:v>
                </c:pt>
                <c:pt idx="6">
                  <c:v>4</c:v>
                </c:pt>
                <c:pt idx="7">
                  <c:v>4.0999999999999996</c:v>
                </c:pt>
                <c:pt idx="8">
                  <c:v>4.2</c:v>
                </c:pt>
                <c:pt idx="9">
                  <c:v>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3-48E8-BB97-0FCA222D77CF}"/>
            </c:ext>
          </c:extLst>
        </c:ser>
        <c:ser>
          <c:idx val="3"/>
          <c:order val="1"/>
          <c:tx>
            <c:strRef>
              <c:f>'Minimum Vin'!$E$7</c:f>
              <c:strCache>
                <c:ptCount val="1"/>
                <c:pt idx="0">
                  <c:v>Vin min @ 25C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'Minimum Vin'!$C$8:$C$20</c:f>
              <c:numCache>
                <c:formatCode>General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'Minimum Vin'!$E$8:$E$20</c:f>
              <c:numCache>
                <c:formatCode>0.00</c:formatCode>
                <c:ptCount val="13"/>
                <c:pt idx="0">
                  <c:v>3.36</c:v>
                </c:pt>
                <c:pt idx="1">
                  <c:v>3.42</c:v>
                </c:pt>
                <c:pt idx="2">
                  <c:v>3.48</c:v>
                </c:pt>
                <c:pt idx="3">
                  <c:v>3.54</c:v>
                </c:pt>
                <c:pt idx="4">
                  <c:v>3.5999999999999996</c:v>
                </c:pt>
                <c:pt idx="5">
                  <c:v>3.6599999999999997</c:v>
                </c:pt>
                <c:pt idx="6">
                  <c:v>3.7199999999999998</c:v>
                </c:pt>
                <c:pt idx="7">
                  <c:v>3.78</c:v>
                </c:pt>
                <c:pt idx="8">
                  <c:v>3.84</c:v>
                </c:pt>
                <c:pt idx="9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83-48E8-BB97-0FCA222D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863560"/>
        <c:axId val="317863952"/>
      </c:scatterChart>
      <c:valAx>
        <c:axId val="317863560"/>
        <c:scaling>
          <c:orientation val="minMax"/>
          <c:max val="1.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17863952"/>
        <c:crosses val="autoZero"/>
        <c:crossBetween val="midCat"/>
        <c:majorUnit val="0.2"/>
      </c:valAx>
      <c:valAx>
        <c:axId val="31786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Input Voltage (V)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25400"/>
        </c:spPr>
        <c:crossAx val="317863560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728089438647159"/>
          <c:y val="0.6277051610974177"/>
          <c:w val="0.26141171855297446"/>
          <c:h val="0.12858957029863274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152398</xdr:rowOff>
    </xdr:from>
    <xdr:to>
      <xdr:col>8</xdr:col>
      <xdr:colOff>281940</xdr:colOff>
      <xdr:row>43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tabSelected="1" workbookViewId="0">
      <selection activeCell="D17" sqref="D17"/>
    </sheetView>
  </sheetViews>
  <sheetFormatPr defaultRowHeight="15" x14ac:dyDescent="0.25"/>
  <cols>
    <col min="2" max="2" width="78.7109375" style="41" customWidth="1"/>
    <col min="4" max="5" width="9.28515625" customWidth="1"/>
  </cols>
  <sheetData>
    <row r="2" spans="2:2" ht="14.45" customHeight="1" x14ac:dyDescent="0.25">
      <c r="B2" s="114" t="s">
        <v>42</v>
      </c>
    </row>
    <row r="3" spans="2:2" ht="14.45" customHeight="1" x14ac:dyDescent="0.25">
      <c r="B3" s="114"/>
    </row>
    <row r="4" spans="2:2" ht="14.45" customHeight="1" x14ac:dyDescent="0.25">
      <c r="B4" s="114"/>
    </row>
    <row r="5" spans="2:2" ht="14.45" customHeight="1" x14ac:dyDescent="0.25">
      <c r="B5" s="88" t="s">
        <v>111</v>
      </c>
    </row>
    <row r="6" spans="2:2" x14ac:dyDescent="0.25">
      <c r="B6" s="87"/>
    </row>
    <row r="7" spans="2:2" ht="14.45" customHeight="1" x14ac:dyDescent="0.25">
      <c r="B7" s="102" t="s">
        <v>41</v>
      </c>
    </row>
    <row r="8" spans="2:2" x14ac:dyDescent="0.25">
      <c r="B8" s="115" t="s">
        <v>112</v>
      </c>
    </row>
    <row r="9" spans="2:2" x14ac:dyDescent="0.25">
      <c r="B9" s="115"/>
    </row>
    <row r="10" spans="2:2" x14ac:dyDescent="0.25">
      <c r="B10" s="103"/>
    </row>
    <row r="11" spans="2:2" ht="14.45" customHeight="1" x14ac:dyDescent="0.25">
      <c r="B11" s="115" t="s">
        <v>110</v>
      </c>
    </row>
    <row r="12" spans="2:2" x14ac:dyDescent="0.25">
      <c r="B12" s="115"/>
    </row>
    <row r="14" spans="2:2" x14ac:dyDescent="0.25">
      <c r="B14" s="97" t="s">
        <v>115</v>
      </c>
    </row>
    <row r="16" spans="2:2" ht="16.149999999999999" customHeight="1" x14ac:dyDescent="0.25">
      <c r="B16" s="98" t="s">
        <v>116</v>
      </c>
    </row>
    <row r="17" spans="2:6" x14ac:dyDescent="0.25">
      <c r="B17" s="96"/>
    </row>
    <row r="18" spans="2:6" ht="30" x14ac:dyDescent="0.25">
      <c r="B18" s="99" t="s">
        <v>117</v>
      </c>
    </row>
    <row r="20" spans="2:6" ht="30" x14ac:dyDescent="0.25">
      <c r="B20" s="100" t="s">
        <v>118</v>
      </c>
      <c r="F20" s="1"/>
    </row>
    <row r="21" spans="2:6" x14ac:dyDescent="0.25">
      <c r="B21" s="101"/>
      <c r="F21" s="1"/>
    </row>
    <row r="22" spans="2:6" x14ac:dyDescent="0.25">
      <c r="B22" s="85" t="s">
        <v>130</v>
      </c>
    </row>
    <row r="23" spans="2:6" x14ac:dyDescent="0.25">
      <c r="B23" s="86" t="s">
        <v>132</v>
      </c>
    </row>
    <row r="24" spans="2:6" x14ac:dyDescent="0.25">
      <c r="B24" s="85"/>
    </row>
    <row r="25" spans="2:6" x14ac:dyDescent="0.25">
      <c r="B25" s="85"/>
    </row>
    <row r="26" spans="2:6" x14ac:dyDescent="0.25">
      <c r="B26" s="85"/>
    </row>
  </sheetData>
  <sheetProtection algorithmName="SHA-512" hashValue="jdti24QEFMsKR/jRt5uIyJ9JHgBmLObqvylsLK/5Bh4N39tNfyaiv9Au0ll/JT0iumce47yTJFnM+1m7JHrz5A==" saltValue="pFY0jj84yHVaZcDowoQcDg==" spinCount="100000" sheet="1" objects="1" scenarios="1"/>
  <mergeCells count="3">
    <mergeCell ref="B2:B4"/>
    <mergeCell ref="B8:B9"/>
    <mergeCell ref="B11:B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>
      <selection activeCell="B5" sqref="B5"/>
    </sheetView>
  </sheetViews>
  <sheetFormatPr defaultRowHeight="15" x14ac:dyDescent="0.25"/>
  <cols>
    <col min="1" max="1" width="42.28515625" customWidth="1"/>
    <col min="2" max="2" width="18.140625" customWidth="1"/>
    <col min="4" max="4" width="9.28515625" bestFit="1" customWidth="1"/>
    <col min="5" max="5" width="17.85546875" hidden="1" customWidth="1"/>
    <col min="7" max="7" width="8.85546875" customWidth="1"/>
  </cols>
  <sheetData>
    <row r="1" spans="1:7" ht="15.75" thickBot="1" x14ac:dyDescent="0.3">
      <c r="A1" s="69" t="s">
        <v>43</v>
      </c>
      <c r="B1" s="65" t="s">
        <v>102</v>
      </c>
      <c r="C1" s="65" t="s">
        <v>67</v>
      </c>
      <c r="D1" s="66" t="s">
        <v>71</v>
      </c>
      <c r="E1" s="71" t="s">
        <v>105</v>
      </c>
    </row>
    <row r="2" spans="1:7" x14ac:dyDescent="0.25">
      <c r="A2" s="56" t="s">
        <v>45</v>
      </c>
      <c r="B2" s="73">
        <v>18</v>
      </c>
      <c r="C2" s="57" t="s">
        <v>29</v>
      </c>
      <c r="D2" s="58" t="s">
        <v>72</v>
      </c>
      <c r="E2" s="72">
        <v>37</v>
      </c>
    </row>
    <row r="3" spans="1:7" x14ac:dyDescent="0.25">
      <c r="A3" s="59" t="s">
        <v>44</v>
      </c>
      <c r="B3" s="74">
        <v>5.6</v>
      </c>
      <c r="C3" s="43" t="s">
        <v>29</v>
      </c>
      <c r="D3" s="60" t="s">
        <v>73</v>
      </c>
      <c r="E3" s="72">
        <f>B6*0.6+B5</f>
        <v>3.6599999999999997</v>
      </c>
    </row>
    <row r="4" spans="1:7" x14ac:dyDescent="0.25">
      <c r="A4" s="59" t="s">
        <v>46</v>
      </c>
      <c r="B4" s="74">
        <v>12</v>
      </c>
      <c r="C4" s="43" t="s">
        <v>29</v>
      </c>
      <c r="D4" s="60" t="s">
        <v>74</v>
      </c>
      <c r="E4" s="71" t="s">
        <v>106</v>
      </c>
      <c r="G4" s="112" t="s">
        <v>131</v>
      </c>
    </row>
    <row r="5" spans="1:7" x14ac:dyDescent="0.25">
      <c r="A5" s="59" t="s">
        <v>47</v>
      </c>
      <c r="B5" s="74">
        <v>3.3</v>
      </c>
      <c r="C5" s="43" t="s">
        <v>29</v>
      </c>
      <c r="D5" s="60" t="s">
        <v>75</v>
      </c>
      <c r="E5" s="71" t="s">
        <v>107</v>
      </c>
    </row>
    <row r="6" spans="1:7" x14ac:dyDescent="0.25">
      <c r="A6" s="59" t="s">
        <v>49</v>
      </c>
      <c r="B6" s="74">
        <v>0.6</v>
      </c>
      <c r="C6" s="43" t="s">
        <v>9</v>
      </c>
      <c r="D6" s="60" t="s">
        <v>77</v>
      </c>
      <c r="E6" s="72">
        <v>1.7</v>
      </c>
    </row>
    <row r="7" spans="1:7" x14ac:dyDescent="0.25">
      <c r="A7" s="59" t="s">
        <v>48</v>
      </c>
      <c r="B7" s="74">
        <v>0.2</v>
      </c>
      <c r="C7" s="43" t="s">
        <v>9</v>
      </c>
      <c r="D7" s="60" t="s">
        <v>76</v>
      </c>
      <c r="E7" s="72">
        <v>0</v>
      </c>
    </row>
    <row r="8" spans="1:7" x14ac:dyDescent="0.25">
      <c r="A8" s="59" t="s">
        <v>69</v>
      </c>
      <c r="B8" s="74">
        <v>1</v>
      </c>
      <c r="C8" s="43" t="s">
        <v>70</v>
      </c>
      <c r="D8" s="61" t="s">
        <v>91</v>
      </c>
      <c r="E8" s="72">
        <v>0.7</v>
      </c>
    </row>
    <row r="9" spans="1:7" ht="15.75" thickBot="1" x14ac:dyDescent="0.3">
      <c r="A9" s="62" t="s">
        <v>97</v>
      </c>
      <c r="B9" s="75">
        <v>30</v>
      </c>
      <c r="C9" s="63" t="s">
        <v>70</v>
      </c>
      <c r="D9" s="64" t="s">
        <v>98</v>
      </c>
      <c r="E9" s="72">
        <v>15</v>
      </c>
    </row>
    <row r="10" spans="1:7" ht="15.75" thickBot="1" x14ac:dyDescent="0.3">
      <c r="B10" s="67"/>
      <c r="D10" s="31"/>
      <c r="E10" s="72"/>
    </row>
    <row r="11" spans="1:7" x14ac:dyDescent="0.25">
      <c r="A11" s="70" t="s">
        <v>113</v>
      </c>
      <c r="B11" s="116"/>
      <c r="C11" s="117"/>
      <c r="D11" s="118"/>
      <c r="E11" s="72"/>
    </row>
    <row r="12" spans="1:7" x14ac:dyDescent="0.25">
      <c r="A12" s="59" t="s">
        <v>103</v>
      </c>
      <c r="B12" s="43">
        <v>18.399999999999999</v>
      </c>
      <c r="C12" s="43" t="s">
        <v>29</v>
      </c>
      <c r="D12" s="61" t="s">
        <v>104</v>
      </c>
      <c r="E12" s="72"/>
    </row>
    <row r="13" spans="1:7" x14ac:dyDescent="0.25">
      <c r="A13" s="59" t="s">
        <v>121</v>
      </c>
      <c r="B13" s="113">
        <v>2</v>
      </c>
      <c r="C13" s="43" t="s">
        <v>68</v>
      </c>
      <c r="D13" s="61" t="s">
        <v>120</v>
      </c>
      <c r="E13" s="72"/>
    </row>
    <row r="14" spans="1:7" x14ac:dyDescent="0.25">
      <c r="A14" s="59" t="s">
        <v>50</v>
      </c>
      <c r="B14" s="43">
        <f>IF(((B13&gt;2)*AND(B13&lt;2.5001)),B13,2)</f>
        <v>2</v>
      </c>
      <c r="C14" s="43" t="s">
        <v>68</v>
      </c>
      <c r="D14" s="60" t="s">
        <v>78</v>
      </c>
      <c r="E14" s="72"/>
    </row>
    <row r="15" spans="1:7" x14ac:dyDescent="0.25">
      <c r="A15" s="59" t="s">
        <v>51</v>
      </c>
      <c r="B15" s="43">
        <v>550</v>
      </c>
      <c r="C15" s="43" t="s">
        <v>95</v>
      </c>
      <c r="D15" s="60" t="s">
        <v>79</v>
      </c>
      <c r="E15" s="72"/>
    </row>
    <row r="16" spans="1:7" ht="15.75" thickBot="1" x14ac:dyDescent="0.3">
      <c r="A16" s="62" t="s">
        <v>52</v>
      </c>
      <c r="B16" s="63">
        <v>300</v>
      </c>
      <c r="C16" s="63" t="s">
        <v>95</v>
      </c>
      <c r="D16" s="68" t="s">
        <v>80</v>
      </c>
      <c r="E16" s="72"/>
    </row>
    <row r="17" spans="1:5" ht="15.75" thickBot="1" x14ac:dyDescent="0.3">
      <c r="E17" s="72"/>
    </row>
    <row r="18" spans="1:5" x14ac:dyDescent="0.25">
      <c r="A18" s="70" t="s">
        <v>53</v>
      </c>
      <c r="B18" s="107">
        <v>1</v>
      </c>
      <c r="C18" s="93" t="s">
        <v>96</v>
      </c>
      <c r="D18" s="94" t="s">
        <v>81</v>
      </c>
      <c r="E18" s="72"/>
    </row>
    <row r="19" spans="1:5" x14ac:dyDescent="0.25">
      <c r="A19" s="59" t="s">
        <v>54</v>
      </c>
      <c r="B19" s="89">
        <f>(B5+B6*(B27/1000)+(B15/1000)*B6+(B16/1000)*B6)/B4</f>
        <v>0.32300000000000001</v>
      </c>
      <c r="C19" s="43"/>
      <c r="D19" s="60" t="s">
        <v>30</v>
      </c>
      <c r="E19" s="72"/>
    </row>
    <row r="20" spans="1:5" x14ac:dyDescent="0.25">
      <c r="A20" s="59" t="s">
        <v>55</v>
      </c>
      <c r="B20" s="89">
        <f>B8*B4/100</f>
        <v>0.12</v>
      </c>
      <c r="C20" s="43" t="s">
        <v>29</v>
      </c>
      <c r="D20" s="60" t="s">
        <v>82</v>
      </c>
      <c r="E20" s="72"/>
    </row>
    <row r="21" spans="1:5" x14ac:dyDescent="0.25">
      <c r="A21" s="59" t="s">
        <v>60</v>
      </c>
      <c r="B21" s="89">
        <f>(1000000*B6*B19*(1-B19))/(B14*1000000*B20)</f>
        <v>0.54667750000000004</v>
      </c>
      <c r="C21" s="43" t="s">
        <v>96</v>
      </c>
      <c r="D21" s="60" t="s">
        <v>83</v>
      </c>
      <c r="E21" s="72"/>
    </row>
    <row r="22" spans="1:5" ht="15.75" thickBot="1" x14ac:dyDescent="0.3">
      <c r="A22" s="62" t="s">
        <v>56</v>
      </c>
      <c r="B22" s="95">
        <f>B6*SQRT(B19*(1-B19))</f>
        <v>0.28057362670072894</v>
      </c>
      <c r="C22" s="63" t="s">
        <v>9</v>
      </c>
      <c r="D22" s="68" t="s">
        <v>84</v>
      </c>
      <c r="E22" s="72"/>
    </row>
    <row r="23" spans="1:5" ht="15.75" thickBot="1" x14ac:dyDescent="0.3">
      <c r="E23" s="72"/>
    </row>
    <row r="24" spans="1:5" x14ac:dyDescent="0.25">
      <c r="A24" s="70" t="s">
        <v>57</v>
      </c>
      <c r="B24" s="107">
        <v>4.7</v>
      </c>
      <c r="C24" s="93" t="s">
        <v>99</v>
      </c>
      <c r="D24" s="94" t="s">
        <v>85</v>
      </c>
      <c r="E24" s="72"/>
    </row>
    <row r="25" spans="1:5" x14ac:dyDescent="0.25">
      <c r="A25" s="59" t="s">
        <v>58</v>
      </c>
      <c r="B25" s="43">
        <f>B5/B6</f>
        <v>5.5</v>
      </c>
      <c r="C25" s="43" t="s">
        <v>100</v>
      </c>
      <c r="D25" s="60" t="s">
        <v>86</v>
      </c>
      <c r="E25" s="72"/>
    </row>
    <row r="26" spans="1:5" x14ac:dyDescent="0.25">
      <c r="A26" s="59" t="s">
        <v>59</v>
      </c>
      <c r="B26" s="89">
        <f>1000000*(B5*(1-B19))/(B14*1000000*B6*(B9/100))</f>
        <v>6.2058333333333335</v>
      </c>
      <c r="C26" s="43" t="s">
        <v>99</v>
      </c>
      <c r="D26" s="60" t="s">
        <v>87</v>
      </c>
      <c r="E26" s="72"/>
    </row>
    <row r="27" spans="1:5" ht="15.75" thickBot="1" x14ac:dyDescent="0.3">
      <c r="A27" s="62" t="s">
        <v>61</v>
      </c>
      <c r="B27" s="108">
        <v>110</v>
      </c>
      <c r="C27" s="63" t="s">
        <v>95</v>
      </c>
      <c r="D27" s="68" t="s">
        <v>88</v>
      </c>
      <c r="E27" s="72"/>
    </row>
    <row r="28" spans="1:5" ht="15.75" thickBot="1" x14ac:dyDescent="0.3">
      <c r="E28" s="72"/>
    </row>
    <row r="29" spans="1:5" x14ac:dyDescent="0.25">
      <c r="A29" s="70" t="s">
        <v>62</v>
      </c>
      <c r="B29" s="107">
        <v>4.7</v>
      </c>
      <c r="C29" s="93" t="s">
        <v>96</v>
      </c>
      <c r="D29" s="94" t="s">
        <v>89</v>
      </c>
      <c r="E29" s="72"/>
    </row>
    <row r="30" spans="1:5" x14ac:dyDescent="0.25">
      <c r="A30" s="59" t="s">
        <v>63</v>
      </c>
      <c r="B30" s="43">
        <f>B6-B7</f>
        <v>0.39999999999999997</v>
      </c>
      <c r="C30" s="43" t="s">
        <v>101</v>
      </c>
      <c r="D30" s="60" t="s">
        <v>90</v>
      </c>
      <c r="E30" s="72"/>
    </row>
    <row r="31" spans="1:5" x14ac:dyDescent="0.25">
      <c r="A31" s="59" t="s">
        <v>64</v>
      </c>
      <c r="B31" s="43">
        <f>B5*B8/100</f>
        <v>3.3000000000000002E-2</v>
      </c>
      <c r="C31" s="43" t="s">
        <v>29</v>
      </c>
      <c r="D31" s="60" t="s">
        <v>92</v>
      </c>
      <c r="E31" s="72"/>
    </row>
    <row r="32" spans="1:5" x14ac:dyDescent="0.25">
      <c r="A32" s="59" t="s">
        <v>65</v>
      </c>
      <c r="B32" s="43">
        <f>(1000000*B24*B30*B30)/(2*B14*1000000*B31)</f>
        <v>5.6969696969696964</v>
      </c>
      <c r="C32" s="43" t="s">
        <v>96</v>
      </c>
      <c r="D32" s="60" t="s">
        <v>93</v>
      </c>
      <c r="E32" s="72"/>
    </row>
    <row r="33" spans="1:5" ht="15.75" thickBot="1" x14ac:dyDescent="0.3">
      <c r="A33" s="62" t="s">
        <v>66</v>
      </c>
      <c r="B33" s="108">
        <v>40</v>
      </c>
      <c r="C33" s="63" t="s">
        <v>95</v>
      </c>
      <c r="D33" s="68" t="s">
        <v>94</v>
      </c>
      <c r="E33" s="72"/>
    </row>
  </sheetData>
  <sheetProtection algorithmName="SHA-512" hashValue="c6rzjcAX7G487NL2qWjrodph4Cu6YgSNeAsHCE2gmtgy8croaJZFv03YghFA4wRjjxPTYBlx0goABxPq2uvQHw==" saltValue="TfdpdLlsPlOcRLy0oIWBQw==" spinCount="100000" sheet="1" objects="1" scenarios="1"/>
  <protectedRanges>
    <protectedRange sqref="B13" name="Range1"/>
  </protectedRanges>
  <mergeCells count="1">
    <mergeCell ref="B11:D11"/>
  </mergeCells>
  <conditionalFormatting sqref="B2">
    <cfRule type="expression" dxfId="10" priority="11">
      <formula>$B$2&gt;$E$2</formula>
    </cfRule>
  </conditionalFormatting>
  <conditionalFormatting sqref="B3">
    <cfRule type="expression" dxfId="9" priority="10">
      <formula>$B$3&lt;$E$3</formula>
    </cfRule>
  </conditionalFormatting>
  <conditionalFormatting sqref="B4">
    <cfRule type="expression" dxfId="8" priority="7">
      <formula>OR($B$4&lt;$E$3, $B$4&gt;$E$2)</formula>
    </cfRule>
  </conditionalFormatting>
  <conditionalFormatting sqref="B5">
    <cfRule type="expression" dxfId="7" priority="6">
      <formula>NOT(OR($B$5=2.5,$B$5=3.3,$B$5=5))</formula>
    </cfRule>
  </conditionalFormatting>
  <conditionalFormatting sqref="B6">
    <cfRule type="expression" priority="4">
      <formula>$B$6&gt;$E$6</formula>
    </cfRule>
  </conditionalFormatting>
  <conditionalFormatting sqref="B7">
    <cfRule type="expression" priority="5">
      <formula>OR($B$7&lt;0,$B$7&gt;$B$6)</formula>
    </cfRule>
  </conditionalFormatting>
  <conditionalFormatting sqref="B8">
    <cfRule type="expression" dxfId="6" priority="3">
      <formula>OR($B$8&lt;0.7,$B$8&gt;10)</formula>
    </cfRule>
  </conditionalFormatting>
  <conditionalFormatting sqref="B13">
    <cfRule type="expression" dxfId="5" priority="2">
      <formula>"OR(AND($B$5=&lt;2.6,OR($B$13&lt;1.8, $B$13+$B$13&gt;2.2),AND($B$5&gt;2.6,OR($B$13&lt;1.8,$B$13&gt;2.6))"</formula>
    </cfRule>
  </conditionalFormatting>
  <conditionalFormatting sqref="B19">
    <cfRule type="expression" dxfId="4" priority="1">
      <formula>$B$19&gt;1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zoomScaleNormal="100" workbookViewId="0">
      <pane ySplit="3" topLeftCell="A4" activePane="bottomLeft" state="frozen"/>
      <selection pane="bottomLeft" activeCell="L3" sqref="L3"/>
    </sheetView>
  </sheetViews>
  <sheetFormatPr defaultColWidth="9.140625" defaultRowHeight="15" x14ac:dyDescent="0.25"/>
  <cols>
    <col min="1" max="1" width="22.7109375" bestFit="1" customWidth="1"/>
    <col min="3" max="3" width="4.140625" bestFit="1" customWidth="1"/>
    <col min="5" max="5" width="14.28515625" customWidth="1"/>
    <col min="6" max="6" width="9" style="23" customWidth="1"/>
    <col min="7" max="7" width="3" bestFit="1" customWidth="1"/>
    <col min="9" max="9" width="9.140625" customWidth="1"/>
    <col min="10" max="10" width="11.140625" customWidth="1"/>
    <col min="11" max="11" width="22.7109375" customWidth="1"/>
    <col min="12" max="12" width="16.5703125" customWidth="1"/>
    <col min="13" max="13" width="5.5703125" bestFit="1" customWidth="1"/>
    <col min="14" max="14" width="9.140625" customWidth="1"/>
    <col min="15" max="15" width="14.28515625" customWidth="1"/>
    <col min="16" max="16" width="9.140625" customWidth="1"/>
    <col min="17" max="17" width="3" bestFit="1" customWidth="1"/>
  </cols>
  <sheetData>
    <row r="1" spans="1:19" ht="15.75" thickBot="1" x14ac:dyDescent="0.3">
      <c r="A1" s="129" t="s">
        <v>40</v>
      </c>
      <c r="B1" s="129"/>
      <c r="C1" s="129"/>
      <c r="D1" s="129"/>
      <c r="E1" s="42"/>
      <c r="F1" s="46"/>
      <c r="G1" s="42"/>
      <c r="H1" s="42"/>
      <c r="I1" s="42"/>
      <c r="J1" s="42"/>
      <c r="K1" s="76" t="s">
        <v>39</v>
      </c>
      <c r="L1" s="109" t="s">
        <v>38</v>
      </c>
      <c r="M1" s="110"/>
      <c r="N1" s="77" t="s">
        <v>37</v>
      </c>
      <c r="O1" s="122" t="s">
        <v>36</v>
      </c>
      <c r="P1" s="123"/>
    </row>
    <row r="2" spans="1:19" ht="15.75" thickBot="1" x14ac:dyDescent="0.3">
      <c r="A2" s="42"/>
      <c r="B2" s="42"/>
      <c r="C2" s="42"/>
      <c r="D2" s="42"/>
      <c r="E2" s="48" t="s">
        <v>32</v>
      </c>
      <c r="F2" s="92">
        <f>F20+P21+F36</f>
        <v>0.43682197959183672</v>
      </c>
      <c r="G2" s="49" t="s">
        <v>5</v>
      </c>
      <c r="H2" s="132" t="s">
        <v>35</v>
      </c>
      <c r="I2" s="133"/>
      <c r="J2" s="134"/>
      <c r="K2" s="78" t="s">
        <v>34</v>
      </c>
      <c r="L2" s="111">
        <v>40</v>
      </c>
      <c r="M2" s="79" t="s">
        <v>33</v>
      </c>
      <c r="N2" s="80">
        <f>F2*L2</f>
        <v>17.47287918367347</v>
      </c>
      <c r="O2" s="124">
        <f>150-N2</f>
        <v>132.52712081632654</v>
      </c>
      <c r="P2" s="125"/>
      <c r="Q2" s="40"/>
    </row>
    <row r="3" spans="1:19" ht="15.75" thickBot="1" x14ac:dyDescent="0.3">
      <c r="A3" s="42"/>
      <c r="B3" s="42"/>
      <c r="C3" s="42"/>
      <c r="D3" s="42"/>
      <c r="E3" s="48"/>
      <c r="F3" s="46"/>
      <c r="G3" s="42"/>
      <c r="H3" s="133"/>
      <c r="I3" s="133"/>
      <c r="J3" s="134"/>
      <c r="K3" s="81"/>
      <c r="L3" s="82" t="s">
        <v>128</v>
      </c>
      <c r="M3" s="83"/>
      <c r="N3" s="84"/>
      <c r="O3" s="126"/>
      <c r="P3" s="127"/>
      <c r="Q3" s="1"/>
      <c r="R3" s="1"/>
      <c r="S3" s="1"/>
    </row>
    <row r="4" spans="1:19" x14ac:dyDescent="0.25">
      <c r="A4" s="42"/>
      <c r="B4" s="42"/>
      <c r="C4" s="42"/>
      <c r="D4" s="42"/>
      <c r="E4" s="42"/>
      <c r="F4" s="46"/>
      <c r="G4" s="42"/>
      <c r="H4" s="42"/>
      <c r="I4" s="42"/>
      <c r="J4" s="42"/>
    </row>
    <row r="5" spans="1:19" x14ac:dyDescent="0.25">
      <c r="A5" s="42"/>
      <c r="B5" s="42"/>
      <c r="C5" s="42"/>
      <c r="D5" s="42"/>
      <c r="E5" s="42"/>
      <c r="F5" s="46"/>
      <c r="G5" s="42"/>
      <c r="H5" s="42"/>
      <c r="I5" s="42"/>
      <c r="J5" s="42"/>
    </row>
    <row r="6" spans="1:19" x14ac:dyDescent="0.25">
      <c r="A6" s="42"/>
      <c r="B6" s="42"/>
      <c r="C6" s="42"/>
      <c r="D6" s="42"/>
      <c r="E6" s="42"/>
      <c r="F6" s="46"/>
      <c r="G6" s="42"/>
      <c r="H6" s="42"/>
      <c r="I6" s="42"/>
      <c r="J6" s="42"/>
    </row>
    <row r="7" spans="1:19" ht="15.75" thickBot="1" x14ac:dyDescent="0.3">
      <c r="A7" s="128" t="s">
        <v>31</v>
      </c>
      <c r="B7" s="128"/>
      <c r="C7" s="128"/>
      <c r="D7" s="128"/>
      <c r="E7" s="128"/>
      <c r="F7" s="128"/>
      <c r="G7" s="128"/>
      <c r="H7" s="42"/>
      <c r="I7" s="42"/>
      <c r="J7" s="42"/>
      <c r="K7" s="24"/>
      <c r="L7" s="24"/>
      <c r="M7" s="24"/>
      <c r="N7" s="24"/>
      <c r="O7" s="24"/>
      <c r="P7" s="24"/>
      <c r="Q7" s="24"/>
    </row>
    <row r="8" spans="1:19" ht="16.5" thickBot="1" x14ac:dyDescent="0.35">
      <c r="A8" s="42" t="s">
        <v>74</v>
      </c>
      <c r="B8" s="104">
        <f>'Component Selection'!B4</f>
        <v>12</v>
      </c>
      <c r="C8" s="49" t="s">
        <v>29</v>
      </c>
      <c r="D8" s="42"/>
      <c r="E8" s="42" t="s">
        <v>30</v>
      </c>
      <c r="F8" s="46">
        <f>(B9+(B10*B13)+(F10*B10))/(B8-(B10*B12)+(B10*B13))</f>
        <v>0.3066326530612245</v>
      </c>
      <c r="G8" s="42"/>
      <c r="H8" s="42"/>
      <c r="I8" s="42"/>
      <c r="J8" s="42"/>
      <c r="K8" s="121" t="s">
        <v>122</v>
      </c>
      <c r="L8" s="121"/>
      <c r="P8" s="23"/>
    </row>
    <row r="9" spans="1:19" ht="16.5" thickBot="1" x14ac:dyDescent="0.35">
      <c r="A9" s="42" t="s">
        <v>75</v>
      </c>
      <c r="B9" s="104">
        <f>'Component Selection'!B5</f>
        <v>3.3</v>
      </c>
      <c r="C9" s="49" t="s">
        <v>29</v>
      </c>
      <c r="D9" s="42"/>
      <c r="E9" s="44" t="s">
        <v>28</v>
      </c>
      <c r="F9" s="47">
        <f>SQRT(B10^2+B11^2/12)</f>
        <v>0.60271635119681299</v>
      </c>
      <c r="G9" s="44" t="s">
        <v>9</v>
      </c>
      <c r="H9" s="42"/>
      <c r="I9" s="42"/>
      <c r="J9" s="42"/>
      <c r="K9" s="43" t="s">
        <v>123</v>
      </c>
      <c r="L9" s="43" t="s">
        <v>124</v>
      </c>
      <c r="O9" s="38"/>
      <c r="P9" s="39"/>
      <c r="Q9" s="38"/>
    </row>
    <row r="10" spans="1:19" ht="15.6" customHeight="1" thickBot="1" x14ac:dyDescent="0.3">
      <c r="A10" s="42" t="s">
        <v>108</v>
      </c>
      <c r="B10" s="104">
        <f>'Component Selection'!B6</f>
        <v>0.6</v>
      </c>
      <c r="C10" s="49" t="s">
        <v>9</v>
      </c>
      <c r="D10" s="42"/>
      <c r="E10" s="42" t="s">
        <v>27</v>
      </c>
      <c r="F10" s="105">
        <f>'Component Selection'!B27/1000</f>
        <v>0.11</v>
      </c>
      <c r="G10" s="50" t="s">
        <v>22</v>
      </c>
      <c r="H10" s="42"/>
      <c r="I10" s="42"/>
      <c r="J10" s="42"/>
      <c r="K10" s="119" t="s">
        <v>126</v>
      </c>
      <c r="L10" s="120">
        <v>117.1</v>
      </c>
      <c r="P10" s="23"/>
      <c r="Q10" s="31"/>
    </row>
    <row r="11" spans="1:19" x14ac:dyDescent="0.25">
      <c r="A11" s="42" t="s">
        <v>26</v>
      </c>
      <c r="B11" s="46">
        <f>0.33*B10</f>
        <v>0.19800000000000001</v>
      </c>
      <c r="C11" s="42" t="s">
        <v>9</v>
      </c>
      <c r="D11" s="42"/>
      <c r="E11" s="42"/>
      <c r="F11" s="46"/>
      <c r="G11" s="42"/>
      <c r="H11" s="131"/>
      <c r="I11" s="131"/>
      <c r="J11" s="42"/>
      <c r="K11" s="119"/>
      <c r="L11" s="120"/>
      <c r="P11" s="23"/>
      <c r="R11" s="27"/>
      <c r="S11" s="27"/>
    </row>
    <row r="12" spans="1:19" x14ac:dyDescent="0.25">
      <c r="A12" s="44" t="s">
        <v>25</v>
      </c>
      <c r="B12" s="44">
        <v>0.8</v>
      </c>
      <c r="C12" s="45" t="s">
        <v>22</v>
      </c>
      <c r="D12" s="44"/>
      <c r="E12" s="42" t="s">
        <v>24</v>
      </c>
      <c r="F12" s="46">
        <f>(F8*F9^2*B12)+((1-F8)*F9^2*B13)</f>
        <v>0.18986260959183676</v>
      </c>
      <c r="G12" s="42" t="s">
        <v>5</v>
      </c>
      <c r="H12" s="135"/>
      <c r="I12" s="135"/>
      <c r="J12" s="42"/>
      <c r="K12" s="119"/>
      <c r="L12" s="120"/>
      <c r="M12" s="37"/>
      <c r="P12" s="23"/>
      <c r="R12" s="30"/>
      <c r="S12" s="30"/>
    </row>
    <row r="13" spans="1:19" ht="15" customHeight="1" x14ac:dyDescent="0.25">
      <c r="A13" s="44" t="s">
        <v>23</v>
      </c>
      <c r="B13" s="44">
        <v>0.4</v>
      </c>
      <c r="C13" s="45" t="s">
        <v>22</v>
      </c>
      <c r="D13" s="44"/>
      <c r="E13" s="42"/>
      <c r="F13" s="46"/>
      <c r="G13" s="42"/>
      <c r="H13" s="42"/>
      <c r="I13" s="42"/>
      <c r="J13" s="42"/>
      <c r="K13" s="119" t="s">
        <v>125</v>
      </c>
      <c r="L13" s="120">
        <v>37.6</v>
      </c>
      <c r="M13" s="37"/>
      <c r="P13" s="23"/>
    </row>
    <row r="14" spans="1:19" x14ac:dyDescent="0.25">
      <c r="A14" s="44" t="s">
        <v>21</v>
      </c>
      <c r="B14" s="44">
        <v>3</v>
      </c>
      <c r="C14" s="45" t="s">
        <v>17</v>
      </c>
      <c r="D14" s="44"/>
      <c r="E14" s="42" t="s">
        <v>20</v>
      </c>
      <c r="F14" s="46">
        <f>B8*B10*((B14+B15)*0.000000001)*(B16*1000)</f>
        <v>7.1999999999999995E-2</v>
      </c>
      <c r="G14" s="42" t="s">
        <v>5</v>
      </c>
      <c r="H14" s="131" t="s">
        <v>19</v>
      </c>
      <c r="I14" s="131"/>
      <c r="J14" s="42"/>
      <c r="K14" s="119"/>
      <c r="L14" s="120"/>
      <c r="M14" s="37"/>
      <c r="P14" s="23"/>
      <c r="R14" s="27"/>
      <c r="S14" s="27"/>
    </row>
    <row r="15" spans="1:19" x14ac:dyDescent="0.25">
      <c r="A15" s="44" t="s">
        <v>18</v>
      </c>
      <c r="B15" s="44">
        <v>2</v>
      </c>
      <c r="C15" s="45" t="s">
        <v>17</v>
      </c>
      <c r="D15" s="44"/>
      <c r="E15" s="42"/>
      <c r="F15" s="46"/>
      <c r="G15" s="42"/>
      <c r="H15" s="130">
        <f>F9</f>
        <v>0.60271635119681299</v>
      </c>
      <c r="I15" s="130"/>
      <c r="J15" s="42"/>
      <c r="K15" s="119"/>
      <c r="L15" s="120"/>
      <c r="M15" s="37"/>
      <c r="O15" s="34"/>
      <c r="P15" s="36"/>
      <c r="Q15" s="34"/>
      <c r="R15" s="26"/>
      <c r="S15" s="26"/>
    </row>
    <row r="16" spans="1:19" x14ac:dyDescent="0.25">
      <c r="A16" s="42" t="s">
        <v>16</v>
      </c>
      <c r="B16" s="42">
        <f>IF(B8&lt;18.4,2000,1000)</f>
        <v>2000</v>
      </c>
      <c r="C16" s="42" t="s">
        <v>15</v>
      </c>
      <c r="D16" s="42"/>
      <c r="E16" s="42" t="s">
        <v>129</v>
      </c>
      <c r="F16" s="46">
        <f>F9*F9*'Component Selection'!B27/1000</f>
        <v>3.9959370000000001E-2</v>
      </c>
      <c r="G16" s="42" t="s">
        <v>5</v>
      </c>
      <c r="H16" s="42"/>
      <c r="I16" s="42"/>
      <c r="J16" s="42"/>
      <c r="K16" s="119"/>
      <c r="L16" s="120"/>
      <c r="P16" s="23"/>
    </row>
    <row r="17" spans="1:19" x14ac:dyDescent="0.25">
      <c r="A17" s="42" t="s">
        <v>14</v>
      </c>
      <c r="B17" s="42">
        <v>4.0000000000000001E-3</v>
      </c>
      <c r="C17" s="42" t="s">
        <v>9</v>
      </c>
      <c r="D17" s="42"/>
      <c r="E17" s="42" t="s">
        <v>13</v>
      </c>
      <c r="F17" s="46">
        <f>B8*B17</f>
        <v>4.8000000000000001E-2</v>
      </c>
      <c r="G17" s="42" t="s">
        <v>5</v>
      </c>
      <c r="H17" s="131" t="s">
        <v>12</v>
      </c>
      <c r="I17" s="131"/>
      <c r="J17" s="42"/>
      <c r="K17" s="119" t="s">
        <v>127</v>
      </c>
      <c r="L17" s="120">
        <v>34.200000000000003</v>
      </c>
      <c r="P17" s="23"/>
      <c r="R17" s="27"/>
      <c r="S17" s="27"/>
    </row>
    <row r="18" spans="1:19" x14ac:dyDescent="0.25">
      <c r="A18" s="42"/>
      <c r="B18" s="42"/>
      <c r="C18" s="42"/>
      <c r="D18" s="42"/>
      <c r="E18" s="42" t="s">
        <v>11</v>
      </c>
      <c r="F18" s="46">
        <f>F14+F12+F17</f>
        <v>0.30986260959183676</v>
      </c>
      <c r="G18" s="42" t="s">
        <v>5</v>
      </c>
      <c r="H18" s="130">
        <f>B10+B11/2</f>
        <v>0.69899999999999995</v>
      </c>
      <c r="I18" s="130"/>
      <c r="J18" s="42"/>
      <c r="K18" s="119"/>
      <c r="L18" s="120"/>
      <c r="M18" s="34"/>
      <c r="N18" s="35"/>
      <c r="P18" s="23"/>
      <c r="R18" s="26"/>
      <c r="S18" s="26"/>
    </row>
    <row r="19" spans="1:19" x14ac:dyDescent="0.25">
      <c r="A19" s="42" t="s">
        <v>10</v>
      </c>
      <c r="B19" s="42">
        <v>0.01</v>
      </c>
      <c r="C19" s="42" t="s">
        <v>9</v>
      </c>
      <c r="D19" s="42"/>
      <c r="E19" s="42" t="s">
        <v>8</v>
      </c>
      <c r="F19" s="46">
        <f>(B8-B9)*B19</f>
        <v>8.6999999999999994E-2</v>
      </c>
      <c r="G19" s="42" t="s">
        <v>5</v>
      </c>
      <c r="H19" s="42"/>
      <c r="I19" s="42"/>
      <c r="J19" s="42"/>
      <c r="K19" s="119"/>
      <c r="L19" s="120"/>
      <c r="P19" s="23"/>
    </row>
    <row r="20" spans="1:19" x14ac:dyDescent="0.25">
      <c r="A20" s="42"/>
      <c r="B20" s="42"/>
      <c r="C20" s="42"/>
      <c r="D20" s="42"/>
      <c r="E20" s="51" t="s">
        <v>7</v>
      </c>
      <c r="F20" s="52">
        <f>F19+F18+F16</f>
        <v>0.43682197959183672</v>
      </c>
      <c r="G20" s="51" t="s">
        <v>5</v>
      </c>
      <c r="H20" s="42"/>
      <c r="I20" s="42"/>
      <c r="J20" s="42"/>
      <c r="K20" s="119"/>
      <c r="L20" s="120"/>
      <c r="P20" s="23"/>
    </row>
    <row r="21" spans="1:19" x14ac:dyDescent="0.25">
      <c r="A21" s="42"/>
      <c r="B21" s="42"/>
      <c r="C21" s="42"/>
      <c r="D21" s="42"/>
      <c r="E21" s="42" t="s">
        <v>6</v>
      </c>
      <c r="F21" s="46">
        <f>(B9*B10)+F20</f>
        <v>2.4168219795918366</v>
      </c>
      <c r="G21" s="42" t="s">
        <v>5</v>
      </c>
      <c r="H21" s="42"/>
      <c r="I21" s="42"/>
      <c r="J21" s="42"/>
      <c r="K21" s="42"/>
      <c r="L21" s="42"/>
      <c r="O21" s="24"/>
      <c r="P21" s="25"/>
      <c r="Q21" s="24"/>
    </row>
    <row r="22" spans="1:19" x14ac:dyDescent="0.25">
      <c r="A22" s="51"/>
      <c r="B22" s="51"/>
      <c r="C22" s="42"/>
      <c r="D22" s="42"/>
      <c r="E22" s="42"/>
      <c r="F22" s="46"/>
      <c r="G22" s="42"/>
      <c r="H22" s="42"/>
      <c r="I22" s="42"/>
      <c r="J22" s="42"/>
      <c r="K22" s="34"/>
      <c r="L22" s="34"/>
      <c r="O22" s="32"/>
      <c r="P22" s="33"/>
      <c r="Q22" s="32"/>
    </row>
    <row r="23" spans="1:19" x14ac:dyDescent="0.25">
      <c r="A23" s="42"/>
      <c r="B23" s="42"/>
      <c r="C23" s="42"/>
      <c r="D23" s="42"/>
      <c r="E23" s="51"/>
      <c r="F23" s="51"/>
      <c r="G23" s="51"/>
      <c r="H23" s="42"/>
      <c r="I23" s="42"/>
      <c r="J23" s="42"/>
      <c r="P23" s="23"/>
    </row>
    <row r="24" spans="1:19" x14ac:dyDescent="0.25">
      <c r="A24" s="42"/>
      <c r="B24" s="42"/>
      <c r="C24" s="51"/>
      <c r="D24" s="51"/>
      <c r="E24" s="42"/>
      <c r="F24" s="46"/>
      <c r="G24" s="42"/>
      <c r="H24" s="42"/>
      <c r="I24" s="42"/>
      <c r="J24" s="42"/>
    </row>
    <row r="25" spans="1:19" x14ac:dyDescent="0.25">
      <c r="A25" s="42"/>
      <c r="B25" s="42"/>
      <c r="C25" s="42"/>
      <c r="D25" s="42"/>
      <c r="E25" s="42"/>
      <c r="F25" s="46"/>
      <c r="G25" s="42"/>
      <c r="H25" s="42"/>
      <c r="I25" s="42"/>
      <c r="J25" s="42"/>
    </row>
    <row r="26" spans="1:19" x14ac:dyDescent="0.25">
      <c r="A26" s="42"/>
      <c r="B26" s="46"/>
      <c r="C26" s="42"/>
      <c r="D26" s="42"/>
      <c r="E26" s="42"/>
      <c r="F26" s="46"/>
      <c r="G26" s="53"/>
      <c r="H26" s="42"/>
      <c r="I26" s="42"/>
      <c r="J26" s="42"/>
    </row>
    <row r="27" spans="1:19" x14ac:dyDescent="0.25">
      <c r="A27" s="42"/>
      <c r="B27" s="42"/>
      <c r="C27" s="42"/>
      <c r="D27" s="42"/>
      <c r="E27" s="42"/>
      <c r="F27" s="46"/>
      <c r="G27" s="42"/>
      <c r="H27" s="42"/>
      <c r="I27" s="42"/>
      <c r="J27" s="42"/>
    </row>
    <row r="28" spans="1:19" x14ac:dyDescent="0.25">
      <c r="C28" s="42"/>
      <c r="D28" s="42"/>
      <c r="E28" s="42"/>
      <c r="F28" s="46"/>
      <c r="G28" s="42"/>
      <c r="H28" s="54"/>
      <c r="I28" s="54"/>
      <c r="J28" s="42"/>
    </row>
    <row r="29" spans="1:19" x14ac:dyDescent="0.25">
      <c r="A29" s="29"/>
      <c r="B29" s="29"/>
      <c r="C29" s="53"/>
      <c r="D29" s="42"/>
      <c r="H29" s="55"/>
      <c r="I29" s="55"/>
      <c r="J29" s="42"/>
    </row>
    <row r="30" spans="1:19" x14ac:dyDescent="0.25">
      <c r="A30" s="29"/>
      <c r="B30" s="29"/>
      <c r="H30" s="42"/>
      <c r="I30" s="42"/>
      <c r="J30" s="42"/>
    </row>
    <row r="31" spans="1:19" x14ac:dyDescent="0.25">
      <c r="C31" s="28"/>
      <c r="H31" s="27"/>
      <c r="I31" s="27"/>
    </row>
    <row r="32" spans="1:19" x14ac:dyDescent="0.25">
      <c r="C32" s="28"/>
      <c r="H32" s="26"/>
      <c r="I32" s="26"/>
    </row>
    <row r="34" spans="5:9" x14ac:dyDescent="0.25">
      <c r="H34" s="27"/>
      <c r="I34" s="27"/>
    </row>
    <row r="35" spans="5:9" x14ac:dyDescent="0.25">
      <c r="H35" s="26"/>
      <c r="I35" s="26"/>
    </row>
    <row r="36" spans="5:9" x14ac:dyDescent="0.25">
      <c r="E36" s="24"/>
      <c r="F36" s="25"/>
      <c r="G36" s="24"/>
    </row>
  </sheetData>
  <sheetProtection algorithmName="SHA-512" hashValue="UeRfIZ4TEqnfylNq/FP8gSXRsIe4mf/xotzkPptW2AgjV2R4UHXYB+o5VYUaFay7SHWvKt1KT+n4Rusz8F0jkg==" saltValue="N0Abt+vJXuKps/kLuu7WQQ==" spinCount="100000" sheet="1" objects="1" scenarios="1"/>
  <mergeCells count="20">
    <mergeCell ref="H15:I15"/>
    <mergeCell ref="H17:I17"/>
    <mergeCell ref="H18:I18"/>
    <mergeCell ref="H14:I14"/>
    <mergeCell ref="H2:J2"/>
    <mergeCell ref="H3:J3"/>
    <mergeCell ref="H11:I11"/>
    <mergeCell ref="H12:I12"/>
    <mergeCell ref="O1:P1"/>
    <mergeCell ref="O2:P2"/>
    <mergeCell ref="O3:P3"/>
    <mergeCell ref="A7:G7"/>
    <mergeCell ref="A1:D1"/>
    <mergeCell ref="K17:K20"/>
    <mergeCell ref="L17:L20"/>
    <mergeCell ref="K8:L8"/>
    <mergeCell ref="K10:K12"/>
    <mergeCell ref="L10:L12"/>
    <mergeCell ref="K13:K16"/>
    <mergeCell ref="L13:L16"/>
  </mergeCells>
  <conditionalFormatting sqref="B8">
    <cfRule type="expression" dxfId="3" priority="3">
      <formula>OR($B$8&lt;3.5, $B$8&gt;18)</formula>
    </cfRule>
  </conditionalFormatting>
  <conditionalFormatting sqref="B9">
    <cfRule type="expression" dxfId="2" priority="2">
      <formula>NOT(OR($B$9=2.5,$B$9=3.3,$B$9=5))</formula>
    </cfRule>
  </conditionalFormatting>
  <conditionalFormatting sqref="B10">
    <cfRule type="expression" dxfId="1" priority="1">
      <formula>OR($B$10&lt;0,$B$10&gt;0.6)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zoomScale="85" zoomScaleNormal="85" workbookViewId="0">
      <selection sqref="A1:N85"/>
    </sheetView>
  </sheetViews>
  <sheetFormatPr defaultRowHeight="15" x14ac:dyDescent="0.25"/>
  <cols>
    <col min="3" max="3" width="8.140625" customWidth="1"/>
    <col min="4" max="4" width="18.28515625" bestFit="1" customWidth="1"/>
    <col min="5" max="5" width="18.85546875" customWidth="1"/>
    <col min="6" max="6" width="14.85546875" bestFit="1" customWidth="1"/>
  </cols>
  <sheetData>
    <row r="1" spans="1:8" ht="15.75" thickBot="1" x14ac:dyDescent="0.3">
      <c r="B1" s="136" t="s">
        <v>119</v>
      </c>
      <c r="C1" s="137"/>
      <c r="D1" s="137"/>
      <c r="E1" s="137"/>
      <c r="F1" s="138"/>
    </row>
    <row r="2" spans="1:8" x14ac:dyDescent="0.25">
      <c r="B2" s="1"/>
      <c r="C2" s="1"/>
      <c r="D2" s="1"/>
      <c r="E2" s="1"/>
      <c r="F2" s="1"/>
    </row>
    <row r="3" spans="1:8" x14ac:dyDescent="0.25">
      <c r="A3" s="2" t="s">
        <v>3</v>
      </c>
      <c r="B3" s="1"/>
      <c r="C3" s="1"/>
      <c r="D3" s="1"/>
      <c r="E3" s="1"/>
    </row>
    <row r="4" spans="1:8" ht="15.75" thickBot="1" x14ac:dyDescent="0.3"/>
    <row r="5" spans="1:8" ht="15.75" thickBot="1" x14ac:dyDescent="0.3">
      <c r="B5" s="90" t="s">
        <v>109</v>
      </c>
      <c r="C5" s="106">
        <f>'Component Selection'!B5</f>
        <v>3.3</v>
      </c>
      <c r="D5" s="91" t="s">
        <v>29</v>
      </c>
      <c r="E5" s="139" t="s">
        <v>114</v>
      </c>
      <c r="F5" s="140"/>
      <c r="G5" s="140"/>
      <c r="H5" s="140"/>
    </row>
    <row r="6" spans="1:8" ht="15.75" thickBot="1" x14ac:dyDescent="0.3"/>
    <row r="7" spans="1:8" ht="15.75" thickBot="1" x14ac:dyDescent="0.3">
      <c r="C7" s="3" t="s">
        <v>0</v>
      </c>
      <c r="D7" s="9" t="s">
        <v>1</v>
      </c>
      <c r="E7" s="3" t="s">
        <v>2</v>
      </c>
      <c r="F7" s="13" t="s">
        <v>4</v>
      </c>
    </row>
    <row r="8" spans="1:8" x14ac:dyDescent="0.25">
      <c r="C8" s="6">
        <v>0.1</v>
      </c>
      <c r="D8" s="10">
        <f>1*$C8+$C$5</f>
        <v>3.4</v>
      </c>
      <c r="E8" s="17">
        <f>0.6*$C8+$C$5</f>
        <v>3.36</v>
      </c>
      <c r="F8" s="14">
        <f>0.75*$C8+$C$5</f>
        <v>3.375</v>
      </c>
    </row>
    <row r="9" spans="1:8" x14ac:dyDescent="0.25">
      <c r="C9" s="7">
        <v>0.2</v>
      </c>
      <c r="D9" s="11">
        <f t="shared" ref="D9:D17" si="0">1*$C9+$C$5</f>
        <v>3.5</v>
      </c>
      <c r="E9" s="18">
        <f t="shared" ref="E9:E17" si="1">0.6*$C9+$C$5</f>
        <v>3.42</v>
      </c>
      <c r="F9" s="15">
        <f t="shared" ref="F9:F17" si="2">0.75*$C9+$C$5</f>
        <v>3.4499999999999997</v>
      </c>
    </row>
    <row r="10" spans="1:8" x14ac:dyDescent="0.25">
      <c r="C10" s="7">
        <v>0.3</v>
      </c>
      <c r="D10" s="11">
        <f t="shared" si="0"/>
        <v>3.5999999999999996</v>
      </c>
      <c r="E10" s="18">
        <f t="shared" si="1"/>
        <v>3.48</v>
      </c>
      <c r="F10" s="15">
        <f t="shared" si="2"/>
        <v>3.5249999999999999</v>
      </c>
    </row>
    <row r="11" spans="1:8" x14ac:dyDescent="0.25">
      <c r="C11" s="7">
        <v>0.4</v>
      </c>
      <c r="D11" s="11">
        <f t="shared" si="0"/>
        <v>3.6999999999999997</v>
      </c>
      <c r="E11" s="18">
        <f t="shared" si="1"/>
        <v>3.54</v>
      </c>
      <c r="F11" s="15">
        <f t="shared" si="2"/>
        <v>3.5999999999999996</v>
      </c>
    </row>
    <row r="12" spans="1:8" x14ac:dyDescent="0.25">
      <c r="C12" s="7">
        <v>0.5</v>
      </c>
      <c r="D12" s="11">
        <f>1*$C12+$C$5</f>
        <v>3.8</v>
      </c>
      <c r="E12" s="18">
        <f t="shared" si="1"/>
        <v>3.5999999999999996</v>
      </c>
      <c r="F12" s="15">
        <f t="shared" si="2"/>
        <v>3.6749999999999998</v>
      </c>
    </row>
    <row r="13" spans="1:8" ht="15.75" thickBot="1" x14ac:dyDescent="0.3">
      <c r="C13" s="19">
        <v>0.6</v>
      </c>
      <c r="D13" s="20">
        <f t="shared" si="0"/>
        <v>3.9</v>
      </c>
      <c r="E13" s="21">
        <f t="shared" si="1"/>
        <v>3.6599999999999997</v>
      </c>
      <c r="F13" s="22">
        <f t="shared" si="2"/>
        <v>3.75</v>
      </c>
    </row>
    <row r="14" spans="1:8" x14ac:dyDescent="0.25">
      <c r="C14" s="8">
        <v>0.7</v>
      </c>
      <c r="D14" s="12">
        <f t="shared" si="0"/>
        <v>4</v>
      </c>
      <c r="E14" s="5">
        <f t="shared" si="1"/>
        <v>3.7199999999999998</v>
      </c>
      <c r="F14" s="16">
        <f t="shared" si="2"/>
        <v>3.8249999999999997</v>
      </c>
    </row>
    <row r="15" spans="1:8" x14ac:dyDescent="0.25">
      <c r="C15" s="7">
        <v>0.8</v>
      </c>
      <c r="D15" s="11">
        <f t="shared" si="0"/>
        <v>4.0999999999999996</v>
      </c>
      <c r="E15" s="18">
        <f t="shared" si="1"/>
        <v>3.78</v>
      </c>
      <c r="F15" s="15">
        <f t="shared" si="2"/>
        <v>3.9</v>
      </c>
    </row>
    <row r="16" spans="1:8" x14ac:dyDescent="0.25">
      <c r="C16" s="7">
        <v>0.9</v>
      </c>
      <c r="D16" s="11">
        <f t="shared" si="0"/>
        <v>4.2</v>
      </c>
      <c r="E16" s="18">
        <f t="shared" si="1"/>
        <v>3.84</v>
      </c>
      <c r="F16" s="15">
        <f t="shared" si="2"/>
        <v>3.9749999999999996</v>
      </c>
    </row>
    <row r="17" spans="3:6" ht="15.75" thickBot="1" x14ac:dyDescent="0.3">
      <c r="C17" s="19">
        <v>1</v>
      </c>
      <c r="D17" s="20">
        <f t="shared" si="0"/>
        <v>4.3</v>
      </c>
      <c r="E17" s="21">
        <f t="shared" si="1"/>
        <v>3.9</v>
      </c>
      <c r="F17" s="22">
        <f t="shared" si="2"/>
        <v>4.05</v>
      </c>
    </row>
    <row r="18" spans="3:6" x14ac:dyDescent="0.25">
      <c r="C18" s="1"/>
      <c r="D18" s="4"/>
      <c r="E18" s="4"/>
    </row>
    <row r="19" spans="3:6" x14ac:dyDescent="0.25">
      <c r="C19" s="1"/>
      <c r="D19" s="4"/>
      <c r="E19" s="4"/>
    </row>
    <row r="20" spans="3:6" x14ac:dyDescent="0.25">
      <c r="C20" s="1"/>
      <c r="D20" s="4"/>
      <c r="E20" s="4"/>
    </row>
  </sheetData>
  <sheetProtection algorithmName="SHA-512" hashValue="5jh1roqlfPRby2Ej+z2Uf0yEjuRZy8f99hcdyoYJjWxzIicN2moPz8NaKAz9R8Yzek/zzgeyFe5sg4NNJ05ByQ==" saltValue="1cbqR7vw/bo5hNlcr0FZ2Q==" spinCount="100000" sheet="1" objects="1" scenarios="1"/>
  <mergeCells count="2">
    <mergeCell ref="B1:F1"/>
    <mergeCell ref="E5:H5"/>
  </mergeCells>
  <conditionalFormatting sqref="C5">
    <cfRule type="expression" dxfId="0" priority="1">
      <formula>NOT(OR($C$5=2.5,$C$5=3.3,$C$5=5))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Component Selection</vt:lpstr>
      <vt:lpstr>Thermal Calculator</vt:lpstr>
      <vt:lpstr>Minimum Vin</vt:lpstr>
    </vt:vector>
  </TitlesOfParts>
  <Company>ON Semiconductor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 Semiconductor</dc:creator>
  <cp:lastModifiedBy>Alain Laprade</cp:lastModifiedBy>
  <cp:lastPrinted>2016-07-27T18:24:35Z</cp:lastPrinted>
  <dcterms:created xsi:type="dcterms:W3CDTF">2013-06-05T14:21:33Z</dcterms:created>
  <dcterms:modified xsi:type="dcterms:W3CDTF">2024-05-06T17:18:40Z</dcterms:modified>
</cp:coreProperties>
</file>